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6" windowWidth="14352" windowHeight="6216"/>
  </bookViews>
  <sheets>
    <sheet name="Sheet1" sheetId="1" r:id="rId1"/>
    <sheet name="Sheet2" sheetId="2" r:id="rId2"/>
    <sheet name="Sheet3" sheetId="3" r:id="rId3"/>
  </sheets>
  <definedNames>
    <definedName name="accrued">Sheet1!$D$38</definedName>
    <definedName name="accruedmethod">Sheet1!$D$27</definedName>
    <definedName name="cleanprice">Sheet1!$D$29</definedName>
    <definedName name="coupon">Sheet1!$D$22</definedName>
    <definedName name="couponfrequency">Sheet1!$D$23</definedName>
    <definedName name="daysaccrued">Sheet1!$J$12</definedName>
    <definedName name="daysaccruedend">Sheet1!$M$12</definedName>
    <definedName name="dirtyprice">Sheet1!$D$39</definedName>
    <definedName name="enddate">Sheet1!$D$14</definedName>
    <definedName name="exdivdays">Sheet1!$J$13</definedName>
    <definedName name="exdivdaysend">Sheet1!$M$13</definedName>
    <definedName name="exdivend">Sheet1!$D$34</definedName>
    <definedName name="exdivstart">Sheet1!$D$28</definedName>
    <definedName name="lastcoupon">Sheet1!$J$10</definedName>
    <definedName name="lastcouponend">Sheet1!$M$10</definedName>
    <definedName name="maturity">Sheet1!$D$24</definedName>
    <definedName name="methodtable">Sheet1!$H$20:$N$31</definedName>
    <definedName name="monthend">Sheet1!$D$26</definedName>
    <definedName name="nextcoupon">Sheet1!$J$11</definedName>
    <definedName name="nextcouponend">Sheet1!$M$11</definedName>
    <definedName name="_xlnm.Print_Area" localSheetId="0">Sheet1!$B$1:$F$42</definedName>
    <definedName name="sifma">Sheet1!$H$24</definedName>
    <definedName name="startdate">Sheet1!$D$13</definedName>
    <definedName name="yearaccrued">Sheet1!$J$14</definedName>
    <definedName name="yearaccruedend">Sheet1!$M$14</definedName>
  </definedNames>
  <calcPr calcId="145621"/>
</workbook>
</file>

<file path=xl/calcChain.xml><?xml version="1.0" encoding="utf-8"?>
<calcChain xmlns="http://schemas.openxmlformats.org/spreadsheetml/2006/main">
  <c r="I17" i="1" l="1"/>
  <c r="I18" i="1" s="1"/>
  <c r="E17" i="1"/>
  <c r="D51" i="1" l="1"/>
  <c r="D52" i="1"/>
  <c r="D53" i="1" s="1"/>
  <c r="D40" i="1"/>
  <c r="M11" i="1" l="1"/>
  <c r="L31" i="1" s="1"/>
  <c r="M10" i="1"/>
  <c r="M31" i="1" s="1"/>
  <c r="M28" i="1" l="1"/>
  <c r="M26" i="1"/>
  <c r="M25" i="1"/>
  <c r="M12" i="1" s="1"/>
  <c r="N27" i="1"/>
  <c r="M24" i="1"/>
  <c r="M23" i="1"/>
  <c r="M30" i="1"/>
  <c r="M22" i="1"/>
  <c r="M29" i="1"/>
  <c r="M21" i="1"/>
  <c r="M20" i="1"/>
  <c r="M27" i="1"/>
  <c r="L30" i="1"/>
  <c r="L24" i="1"/>
  <c r="L29" i="1"/>
  <c r="L23" i="1"/>
  <c r="L28" i="1"/>
  <c r="L22" i="1"/>
  <c r="L21" i="1"/>
  <c r="L27" i="1"/>
  <c r="L20" i="1"/>
  <c r="L26" i="1"/>
  <c r="N25" i="1"/>
  <c r="M14" i="1" s="1"/>
  <c r="L25" i="1"/>
  <c r="M13" i="1" s="1"/>
  <c r="N29" i="1"/>
  <c r="C35" i="1"/>
  <c r="J11" i="1" l="1"/>
  <c r="I31" i="1" s="1"/>
  <c r="J10" i="1"/>
  <c r="J31" i="1" s="1"/>
  <c r="F26" i="1"/>
  <c r="C26" i="1"/>
  <c r="J20" i="1" l="1"/>
  <c r="I20" i="1"/>
  <c r="J30" i="1"/>
  <c r="I30" i="1"/>
  <c r="I23" i="1"/>
  <c r="I27" i="1"/>
  <c r="J23" i="1"/>
  <c r="J27" i="1"/>
  <c r="I24" i="1"/>
  <c r="I28" i="1"/>
  <c r="J24" i="1"/>
  <c r="J28" i="1"/>
  <c r="K25" i="1"/>
  <c r="I21" i="1"/>
  <c r="I25" i="1"/>
  <c r="I29" i="1"/>
  <c r="K29" i="1"/>
  <c r="J21" i="1"/>
  <c r="J25" i="1"/>
  <c r="J29" i="1"/>
  <c r="I22" i="1"/>
  <c r="I26" i="1"/>
  <c r="K27" i="1"/>
  <c r="J22" i="1"/>
  <c r="J26" i="1"/>
  <c r="J12" i="1" l="1"/>
  <c r="J13" i="1"/>
  <c r="J14" i="1"/>
  <c r="D48" i="1" l="1"/>
  <c r="E27" i="1"/>
  <c r="D38" i="1" l="1"/>
  <c r="D39" i="1" l="1"/>
  <c r="D50" i="1" s="1"/>
  <c r="D54" i="1" s="1"/>
  <c r="D55" i="1" s="1"/>
  <c r="D49" i="1"/>
  <c r="D41" i="1" l="1"/>
  <c r="D42" i="1" s="1"/>
  <c r="D43" i="1" s="1"/>
  <c r="D44" i="1" s="1"/>
  <c r="D45" i="1" s="1"/>
</calcChain>
</file>

<file path=xl/sharedStrings.xml><?xml version="1.0" encoding="utf-8"?>
<sst xmlns="http://schemas.openxmlformats.org/spreadsheetml/2006/main" count="98" uniqueCount="71">
  <si>
    <t>Input data:</t>
  </si>
  <si>
    <t>Results:</t>
  </si>
  <si>
    <t>Maturity date of the bond (DD/MM/YY)</t>
  </si>
  <si>
    <t>Day/year method for accrued coupon</t>
  </si>
  <si>
    <t>ACT/360</t>
  </si>
  <si>
    <t>www.markets-international.com                                             Copyright:  Markets International Ltd</t>
  </si>
  <si>
    <t>e.g. enter 6.375% as "6.375"</t>
  </si>
  <si>
    <t>last coupon date</t>
  </si>
  <si>
    <t>days since last coupon</t>
  </si>
  <si>
    <t>days to next coupon</t>
  </si>
  <si>
    <t>next coupon date</t>
  </si>
  <si>
    <t>days in year for accrued</t>
  </si>
  <si>
    <t>days since last coupon for accrued</t>
  </si>
  <si>
    <t xml:space="preserve">Markets International Ltd gives no warranty of any kind as to the accuracy, usefulness or safety of this spreadsheet.
All copyright belongs to Markets International Ltd. and usage is strictly limited to your personal use only
You may not distribute or publish any part of the spreadsheet in any way.
Anyone using this spreadsheet agrees to these terms and conditions by so doing.
</t>
  </si>
  <si>
    <r>
      <t xml:space="preserve">Do </t>
    </r>
    <r>
      <rPr>
        <b/>
        <sz val="11"/>
        <color theme="1"/>
        <rFont val="Calibri"/>
        <family val="2"/>
        <scheme val="minor"/>
      </rPr>
      <t>not</t>
    </r>
    <r>
      <rPr>
        <sz val="11"/>
        <color theme="1"/>
        <rFont val="Calibri"/>
        <family val="2"/>
        <scheme val="minor"/>
      </rPr>
      <t xml:space="preserve"> delete this part of the spreadsheet!</t>
    </r>
  </si>
  <si>
    <t>e.g. enter '23-2-12'</t>
  </si>
  <si>
    <t>ignore if not needed</t>
  </si>
  <si>
    <t>ACT/365L</t>
  </si>
  <si>
    <t>year</t>
  </si>
  <si>
    <t>ACT/ACT AFB</t>
  </si>
  <si>
    <r>
      <t xml:space="preserve">30/360 German/Swiss                                       </t>
    </r>
    <r>
      <rPr>
        <i/>
        <sz val="11"/>
        <color theme="1"/>
        <rFont val="Calibri"/>
        <family val="2"/>
        <scheme val="minor"/>
      </rPr>
      <t>(Swiss and some German bonds)</t>
    </r>
  </si>
  <si>
    <r>
      <t xml:space="preserve">ACT/365                                                                  </t>
    </r>
    <r>
      <rPr>
        <i/>
        <sz val="11"/>
        <color theme="1"/>
        <rFont val="Calibri"/>
        <family val="2"/>
        <scheme val="minor"/>
      </rPr>
      <t>(Japanese government bonds)</t>
    </r>
  </si>
  <si>
    <r>
      <t xml:space="preserve">ACT/365NL                                                             </t>
    </r>
    <r>
      <rPr>
        <i/>
        <sz val="11"/>
        <color theme="1"/>
        <rFont val="Calibri"/>
        <family val="2"/>
        <scheme val="minor"/>
      </rPr>
      <t>(some Japanese bonds)</t>
    </r>
  </si>
  <si>
    <r>
      <t>30(E)/360 ICMA</t>
    </r>
    <r>
      <rPr>
        <i/>
        <sz val="11"/>
        <color theme="1"/>
        <rFont val="Calibri"/>
        <family val="2"/>
        <scheme val="minor"/>
      </rPr>
      <t xml:space="preserve"> = 30/360 Special German</t>
    </r>
    <r>
      <rPr>
        <sz val="11"/>
        <color theme="1"/>
        <rFont val="Calibri"/>
        <family val="2"/>
        <scheme val="minor"/>
      </rPr>
      <t xml:space="preserve"> </t>
    </r>
    <r>
      <rPr>
        <i/>
        <sz val="11"/>
        <color theme="1"/>
        <rFont val="Calibri"/>
        <family val="2"/>
        <scheme val="minor"/>
      </rPr>
      <t>(some European bonds; older Eurobonds)</t>
    </r>
  </si>
  <si>
    <r>
      <t xml:space="preserve">30(A)/360 </t>
    </r>
    <r>
      <rPr>
        <i/>
        <sz val="11"/>
        <color theme="1"/>
        <rFont val="Calibri"/>
        <family val="2"/>
        <scheme val="minor"/>
      </rPr>
      <t>= 30/360 ISDA</t>
    </r>
    <r>
      <rPr>
        <sz val="11"/>
        <color theme="1"/>
        <rFont val="Calibri"/>
        <family val="2"/>
        <scheme val="minor"/>
      </rPr>
      <t xml:space="preserve">                                   </t>
    </r>
    <r>
      <rPr>
        <i/>
        <sz val="11"/>
        <color theme="1"/>
        <rFont val="Calibri"/>
        <family val="2"/>
        <scheme val="minor"/>
      </rPr>
      <t>(US municipal bonds)</t>
    </r>
  </si>
  <si>
    <r>
      <t xml:space="preserve">30/360 SIFMA end-of-month </t>
    </r>
    <r>
      <rPr>
        <i/>
        <sz val="11"/>
        <color theme="1"/>
        <rFont val="Calibri"/>
        <family val="2"/>
        <scheme val="minor"/>
      </rPr>
      <t>= 30U/360</t>
    </r>
    <r>
      <rPr>
        <sz val="11"/>
        <color theme="1"/>
        <rFont val="Calibri"/>
        <family val="2"/>
        <scheme val="minor"/>
      </rPr>
      <t xml:space="preserve">    (</t>
    </r>
    <r>
      <rPr>
        <i/>
        <sz val="11"/>
        <color theme="1"/>
        <rFont val="Calibri"/>
        <family val="2"/>
        <scheme val="minor"/>
      </rPr>
      <t>some US Fed Agency &amp; corporate bonds)</t>
    </r>
  </si>
  <si>
    <r>
      <t xml:space="preserve">ACT/ACT                                                                 </t>
    </r>
    <r>
      <rPr>
        <i/>
        <sz val="11"/>
        <color theme="1"/>
        <rFont val="Calibri"/>
        <family val="2"/>
        <scheme val="minor"/>
      </rPr>
      <t>(US/most Europe govt bonds; non-$ Eurobonds)</t>
    </r>
  </si>
  <si>
    <t>ACT/ACT                                                                 (US/most Europe govt bonds; non-$ Eurobonds)</t>
  </si>
  <si>
    <r>
      <t xml:space="preserve">30(E)/360 ISDA                                                      </t>
    </r>
    <r>
      <rPr>
        <i/>
        <sz val="11"/>
        <color theme="1"/>
        <rFont val="Calibri"/>
        <family val="2"/>
        <scheme val="minor"/>
      </rPr>
      <t>($ Eurobonds)</t>
    </r>
  </si>
  <si>
    <t>click the arrow and choose</t>
  </si>
  <si>
    <t>Frequency of coupon payments per year</t>
  </si>
  <si>
    <t>NO</t>
  </si>
  <si>
    <t>days to next coupon for exdiv accrued</t>
  </si>
  <si>
    <t>Face value (= nominal value) of the bond holding</t>
  </si>
  <si>
    <t>MONTH-END</t>
  </si>
  <si>
    <t>Starting cashflow</t>
  </si>
  <si>
    <t>Repo or buy/sell-back details:</t>
  </si>
  <si>
    <t>Start date (DD/MM/YY)</t>
  </si>
  <si>
    <t>End date  (DD/MM/YY)</t>
  </si>
  <si>
    <t>Year basis (usually 360 or 365)</t>
  </si>
  <si>
    <t>Bond details:</t>
  </si>
  <si>
    <t>Coupon</t>
  </si>
  <si>
    <t>start</t>
  </si>
  <si>
    <t>end</t>
  </si>
  <si>
    <t>Clean price per 100 face value at the start</t>
  </si>
  <si>
    <t>Is the bond ex-dividend at the end of the transaction?</t>
  </si>
  <si>
    <t>Repo interest rate</t>
  </si>
  <si>
    <t>Is the bond ex-dividend at the start of the transaction?</t>
  </si>
  <si>
    <t>End cashflow if the transaction is a buy/sell-back</t>
  </si>
  <si>
    <t>Clean forward bond price if the  transaction is a buy/sell-back</t>
  </si>
  <si>
    <t>Accrued coupon at start per 100 face value</t>
  </si>
  <si>
    <t>Dirty price at start per 100 face value</t>
  </si>
  <si>
    <t>Total value of the bond holding at start</t>
  </si>
  <si>
    <t>Repo and buy/sell-back</t>
  </si>
  <si>
    <t>Needed for a buy/sell-back (but not for a classic repo):</t>
  </si>
  <si>
    <t>End cashflow if the transaction is a classic repo</t>
  </si>
  <si>
    <t>What are the cashflows and forward clean price for a classic repo or a buy/sell-back with a straightforward bond as collateral?</t>
  </si>
  <si>
    <t xml:space="preserve">                             OR</t>
  </si>
  <si>
    <t xml:space="preserve">    Cash amount required at the start</t>
  </si>
  <si>
    <t>For the given face value amount of bond entered above</t>
  </si>
  <si>
    <t>For the given starting cash amount entered above</t>
  </si>
  <si>
    <t xml:space="preserve">    Face value (= nominal value) of the bond holding used</t>
  </si>
  <si>
    <t>'Haircut' method</t>
  </si>
  <si>
    <t>'Initial margin' method</t>
  </si>
  <si>
    <t xml:space="preserve">        OR</t>
  </si>
  <si>
    <r>
      <t xml:space="preserve">Notes:
An 'initial margin' is the percentage by which the </t>
    </r>
    <r>
      <rPr>
        <b/>
        <u/>
        <sz val="11"/>
        <color theme="1"/>
        <rFont val="Calibri"/>
        <family val="2"/>
        <scheme val="minor"/>
      </rPr>
      <t>collateral value is greater than the cash amount</t>
    </r>
    <r>
      <rPr>
        <b/>
        <sz val="11"/>
        <color theme="1"/>
        <rFont val="Calibri"/>
        <family val="2"/>
        <scheme val="minor"/>
      </rPr>
      <t xml:space="preserve">; alternatively, a 'haircut' is the percentage by which the </t>
    </r>
    <r>
      <rPr>
        <b/>
        <u/>
        <sz val="11"/>
        <color theme="1"/>
        <rFont val="Calibri"/>
        <family val="2"/>
        <scheme val="minor"/>
      </rPr>
      <t>cash amount is less than the collateral value</t>
    </r>
    <r>
      <rPr>
        <b/>
        <sz val="11"/>
        <color theme="1"/>
        <rFont val="Calibri"/>
        <family val="2"/>
        <scheme val="minor"/>
      </rPr>
      <t>.
For a buy/sell-back, if there are more than two coupon payments made during the period of the transaction, the cashflows and forward price will not be correct.</t>
    </r>
  </si>
  <si>
    <t>Neither (i.e. zero)</t>
  </si>
  <si>
    <t xml:space="preserve">    Initial margin (ignore if you are using 'haircut method' or 'neither')</t>
  </si>
  <si>
    <t xml:space="preserve">    Haircut (ignore if you are using 'initial margin' method' or 'neither')</t>
  </si>
  <si>
    <r>
      <t xml:space="preserve">'Initial margin' method or 'haircut' method or neither? (see </t>
    </r>
    <r>
      <rPr>
        <b/>
        <sz val="11"/>
        <rFont val="Calibri"/>
        <family val="2"/>
        <scheme val="minor"/>
      </rPr>
      <t>Notes</t>
    </r>
    <r>
      <rPr>
        <sz val="11"/>
        <rFont val="Calibri"/>
        <family val="2"/>
        <scheme val="minor"/>
      </rPr>
      <t xml:space="preserve"> above)</t>
    </r>
  </si>
  <si>
    <r>
      <t xml:space="preserve">ACT/364                                                                  </t>
    </r>
    <r>
      <rPr>
        <i/>
        <sz val="11"/>
        <color theme="1"/>
        <rFont val="Calibri"/>
        <family val="2"/>
        <scheme val="minor"/>
      </rPr>
      <t>(some bonds)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</si>
</sst>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F800]dddd\,\ mmmm\ dd\,\ yyyy"/>
    <numFmt numFmtId="165" formatCode="0.000%"/>
    <numFmt numFmtId="166" formatCode="0.000000"/>
    <numFmt numFmtId="167" formatCode="#,##0.000"/>
    <numFmt numFmtId="168" formatCode="#,##0.000000"/>
  </numFmts>
  <fonts count="17" x14ac:knownFonts="1">
    <font>
      <sz val="11"/>
      <color theme="1"/>
      <name val="Calibri"/>
      <family val="2"/>
      <scheme val="minor"/>
    </font>
    <font>
      <sz val="11"/>
      <color rgb="FF3F3F76"/>
      <name val="Calibri"/>
      <family val="2"/>
      <scheme val="minor"/>
    </font>
    <font>
      <b/>
      <u/>
      <sz val="16"/>
      <color theme="1"/>
      <name val="Calibri"/>
      <family val="2"/>
      <scheme val="minor"/>
    </font>
    <font>
      <b/>
      <sz val="11"/>
      <color rgb="FFFF0000"/>
      <name val="Calibri"/>
      <family val="2"/>
      <scheme val="minor"/>
    </font>
    <font>
      <sz val="11"/>
      <color theme="1"/>
      <name val="Calibri"/>
      <family val="2"/>
      <scheme val="minor"/>
    </font>
    <font>
      <sz val="11"/>
      <name val="Calibri"/>
      <family val="2"/>
      <scheme val="minor"/>
    </font>
    <font>
      <b/>
      <sz val="16"/>
      <color rgb="FFFF0000"/>
      <name val="Calibri"/>
      <family val="2"/>
      <scheme val="minor"/>
    </font>
    <font>
      <sz val="11"/>
      <color theme="10"/>
      <name val="Calibri"/>
      <family val="2"/>
      <scheme val="minor"/>
    </font>
    <font>
      <i/>
      <sz val="11"/>
      <name val="Calibri"/>
      <family val="2"/>
      <scheme val="minor"/>
    </font>
    <font>
      <sz val="11"/>
      <color rgb="FF0070C0"/>
      <name val="Calibri"/>
      <family val="2"/>
      <scheme val="minor"/>
    </font>
    <font>
      <b/>
      <sz val="14"/>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i/>
      <u/>
      <sz val="11"/>
      <color theme="1"/>
      <name val="Calibri"/>
      <family val="2"/>
      <scheme val="minor"/>
    </font>
    <font>
      <b/>
      <u/>
      <sz val="11"/>
      <color theme="1"/>
      <name val="Calibri"/>
      <family val="2"/>
      <scheme val="minor"/>
    </font>
    <font>
      <b/>
      <sz val="11"/>
      <name val="Calibri"/>
      <family val="2"/>
      <scheme val="minor"/>
    </font>
  </fonts>
  <fills count="7">
    <fill>
      <patternFill patternType="none"/>
    </fill>
    <fill>
      <patternFill patternType="gray125"/>
    </fill>
    <fill>
      <patternFill patternType="solid">
        <fgColor rgb="FFFFCC99"/>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s>
  <cellStyleXfs count="11">
    <xf numFmtId="0" fontId="0" fillId="0" borderId="0"/>
    <xf numFmtId="0" fontId="1" fillId="2" borderId="1" applyNumberFormat="0" applyAlignment="0" applyProtection="0"/>
    <xf numFmtId="0" fontId="6" fillId="3" borderId="0"/>
    <xf numFmtId="0" fontId="4" fillId="3" borderId="0"/>
    <xf numFmtId="0" fontId="8" fillId="3" borderId="0"/>
    <xf numFmtId="0" fontId="10" fillId="3" borderId="10" applyBorder="0"/>
    <xf numFmtId="0" fontId="9" fillId="4" borderId="0">
      <protection locked="0"/>
    </xf>
    <xf numFmtId="0" fontId="2" fillId="3" borderId="0"/>
    <xf numFmtId="0" fontId="7" fillId="3" borderId="0"/>
    <xf numFmtId="0" fontId="3" fillId="4" borderId="0"/>
    <xf numFmtId="0" fontId="5" fillId="4" borderId="0"/>
  </cellStyleXfs>
  <cellXfs count="98">
    <xf numFmtId="0" fontId="0" fillId="0" borderId="0" xfId="0"/>
    <xf numFmtId="0" fontId="11" fillId="0" borderId="0" xfId="0" applyFont="1" applyProtection="1"/>
    <xf numFmtId="0" fontId="0" fillId="0" borderId="0" xfId="0" applyProtection="1"/>
    <xf numFmtId="0" fontId="0" fillId="0" borderId="0" xfId="0" applyFill="1" applyBorder="1" applyProtection="1"/>
    <xf numFmtId="0" fontId="0" fillId="0" borderId="0" xfId="0" applyFill="1" applyBorder="1" applyAlignment="1" applyProtection="1">
      <alignment wrapText="1"/>
    </xf>
    <xf numFmtId="0" fontId="0" fillId="0" borderId="0" xfId="0" applyFont="1" applyProtection="1"/>
    <xf numFmtId="0" fontId="4" fillId="3" borderId="2" xfId="3" applyBorder="1" applyProtection="1"/>
    <xf numFmtId="0" fontId="2" fillId="3" borderId="3" xfId="7" applyBorder="1" applyProtection="1"/>
    <xf numFmtId="0" fontId="4" fillId="3" borderId="3" xfId="3" applyBorder="1" applyProtection="1"/>
    <xf numFmtId="0" fontId="4" fillId="3" borderId="4" xfId="3" applyBorder="1" applyProtection="1"/>
    <xf numFmtId="0" fontId="0" fillId="5" borderId="0" xfId="0" applyFill="1" applyProtection="1"/>
    <xf numFmtId="0" fontId="4" fillId="3" borderId="5" xfId="3" applyBorder="1" applyProtection="1"/>
    <xf numFmtId="0" fontId="6" fillId="3" borderId="0" xfId="2" applyBorder="1" applyProtection="1"/>
    <xf numFmtId="0" fontId="4" fillId="3" borderId="0" xfId="3" applyBorder="1" applyProtection="1"/>
    <xf numFmtId="0" fontId="4" fillId="3" borderId="6" xfId="3" applyBorder="1" applyProtection="1"/>
    <xf numFmtId="0" fontId="0" fillId="5" borderId="0" xfId="3" applyFont="1" applyFill="1" applyBorder="1" applyProtection="1"/>
    <xf numFmtId="164" fontId="4" fillId="5" borderId="0" xfId="3" applyNumberFormat="1" applyFill="1" applyBorder="1" applyProtection="1"/>
    <xf numFmtId="0" fontId="10" fillId="3" borderId="0" xfId="5" applyBorder="1" applyAlignment="1" applyProtection="1">
      <alignment horizontal="right"/>
    </xf>
    <xf numFmtId="0" fontId="5" fillId="4" borderId="0" xfId="10" applyBorder="1" applyProtection="1"/>
    <xf numFmtId="0" fontId="8" fillId="3" borderId="6" xfId="4" applyBorder="1" applyProtection="1"/>
    <xf numFmtId="0" fontId="0" fillId="5" borderId="0" xfId="3" applyFont="1" applyFill="1" applyBorder="1" applyAlignment="1" applyProtection="1">
      <alignment horizontal="right"/>
    </xf>
    <xf numFmtId="0" fontId="7" fillId="3" borderId="8" xfId="8" applyBorder="1" applyProtection="1"/>
    <xf numFmtId="0" fontId="4" fillId="3" borderId="8" xfId="3" applyBorder="1" applyProtection="1"/>
    <xf numFmtId="0" fontId="7" fillId="3" borderId="9" xfId="8" applyBorder="1" applyProtection="1"/>
    <xf numFmtId="0" fontId="11" fillId="0" borderId="0" xfId="0" applyFont="1" applyFill="1" applyBorder="1" applyAlignment="1" applyProtection="1">
      <alignment horizontal="center" vertical="top"/>
    </xf>
    <xf numFmtId="0" fontId="12" fillId="0" borderId="0" xfId="0" applyFont="1" applyProtection="1"/>
    <xf numFmtId="4" fontId="9" fillId="4" borderId="0" xfId="6" applyNumberFormat="1" applyBorder="1" applyProtection="1">
      <protection locked="0"/>
    </xf>
    <xf numFmtId="165" fontId="9" fillId="4" borderId="0" xfId="6" applyNumberFormat="1" applyBorder="1" applyProtection="1">
      <protection locked="0"/>
    </xf>
    <xf numFmtId="0" fontId="9" fillId="4" borderId="0" xfId="6" applyBorder="1" applyProtection="1">
      <protection locked="0"/>
    </xf>
    <xf numFmtId="164" fontId="9" fillId="4" borderId="0" xfId="6" applyNumberFormat="1" applyBorder="1" applyProtection="1">
      <protection locked="0"/>
    </xf>
    <xf numFmtId="0" fontId="0" fillId="0" borderId="0" xfId="0" applyAlignment="1" applyProtection="1">
      <alignment horizontal="left"/>
    </xf>
    <xf numFmtId="0" fontId="13" fillId="3" borderId="6" xfId="3" applyFont="1" applyBorder="1" applyProtection="1"/>
    <xf numFmtId="0" fontId="0" fillId="5" borderId="0" xfId="0" applyFill="1" applyAlignment="1" applyProtection="1">
      <alignment horizontal="left"/>
    </xf>
    <xf numFmtId="1" fontId="0" fillId="5" borderId="0" xfId="0" applyNumberFormat="1" applyFill="1" applyProtection="1"/>
    <xf numFmtId="0" fontId="0" fillId="5" borderId="0" xfId="3" quotePrefix="1" applyFont="1" applyFill="1" applyBorder="1" applyAlignment="1" applyProtection="1">
      <alignment horizontal="right"/>
    </xf>
    <xf numFmtId="164" fontId="0" fillId="0" borderId="0" xfId="0" applyNumberFormat="1" applyProtection="1"/>
    <xf numFmtId="1" fontId="0" fillId="5" borderId="0" xfId="3" applyNumberFormat="1" applyFont="1" applyFill="1" applyBorder="1" applyProtection="1"/>
    <xf numFmtId="0" fontId="0" fillId="5" borderId="0" xfId="0" applyFont="1" applyFill="1" applyProtection="1"/>
    <xf numFmtId="49" fontId="9" fillId="4" borderId="0" xfId="6" applyNumberFormat="1" applyBorder="1" applyAlignment="1" applyProtection="1">
      <alignment horizontal="left" indent="25"/>
      <protection locked="0"/>
    </xf>
    <xf numFmtId="0" fontId="3" fillId="3" borderId="0" xfId="3" applyFont="1" applyBorder="1" applyProtection="1"/>
    <xf numFmtId="0" fontId="9" fillId="4" borderId="0" xfId="6" applyNumberFormat="1" applyBorder="1" applyAlignment="1" applyProtection="1">
      <alignment horizontal="right"/>
      <protection locked="0"/>
    </xf>
    <xf numFmtId="0" fontId="0" fillId="5" borderId="0" xfId="0" applyNumberFormat="1" applyFill="1" applyProtection="1"/>
    <xf numFmtId="167" fontId="9" fillId="4" borderId="0" xfId="6" applyNumberFormat="1" applyBorder="1" applyProtection="1">
      <protection locked="0"/>
    </xf>
    <xf numFmtId="0" fontId="0" fillId="3" borderId="0" xfId="3" applyFont="1" applyBorder="1" applyProtection="1"/>
    <xf numFmtId="0" fontId="0" fillId="4" borderId="5" xfId="3" applyFont="1" applyFill="1" applyBorder="1" applyProtection="1"/>
    <xf numFmtId="0" fontId="0" fillId="4" borderId="7" xfId="3" applyFont="1" applyFill="1" applyBorder="1" applyProtection="1"/>
    <xf numFmtId="0" fontId="4" fillId="3" borderId="5" xfId="3" applyFill="1" applyBorder="1" applyProtection="1"/>
    <xf numFmtId="0" fontId="0" fillId="4" borderId="0" xfId="3" applyFont="1" applyFill="1" applyBorder="1" applyProtection="1"/>
    <xf numFmtId="0" fontId="0" fillId="3" borderId="5" xfId="0" applyFill="1" applyBorder="1" applyProtection="1"/>
    <xf numFmtId="0" fontId="0" fillId="3" borderId="0" xfId="0" applyFill="1" applyBorder="1" applyProtection="1"/>
    <xf numFmtId="0" fontId="0" fillId="3" borderId="6" xfId="0" applyFill="1" applyBorder="1" applyProtection="1"/>
    <xf numFmtId="0" fontId="11" fillId="4" borderId="0" xfId="3" applyFont="1" applyFill="1" applyBorder="1" applyProtection="1"/>
    <xf numFmtId="0" fontId="10" fillId="4" borderId="0" xfId="5" applyFill="1" applyBorder="1" applyAlignment="1" applyProtection="1">
      <alignment horizontal="right"/>
    </xf>
    <xf numFmtId="1" fontId="9" fillId="4" borderId="0" xfId="6" applyNumberFormat="1" applyFill="1" applyBorder="1" applyProtection="1">
      <protection locked="0"/>
    </xf>
    <xf numFmtId="0" fontId="0" fillId="3" borderId="7" xfId="0" applyFill="1" applyBorder="1" applyProtection="1"/>
    <xf numFmtId="0" fontId="0" fillId="5" borderId="11" xfId="0" applyFont="1" applyFill="1" applyBorder="1" applyProtection="1"/>
    <xf numFmtId="0" fontId="0" fillId="5" borderId="11" xfId="0" applyFill="1" applyBorder="1" applyProtection="1"/>
    <xf numFmtId="0" fontId="0" fillId="5" borderId="11" xfId="3" quotePrefix="1" applyFont="1" applyFill="1" applyBorder="1" applyAlignment="1" applyProtection="1">
      <alignment horizontal="right"/>
    </xf>
    <xf numFmtId="1" fontId="0" fillId="5" borderId="11" xfId="0" applyNumberFormat="1" applyFill="1" applyBorder="1" applyProtection="1"/>
    <xf numFmtId="1" fontId="0" fillId="5" borderId="11" xfId="3" applyNumberFormat="1" applyFont="1" applyFill="1" applyBorder="1" applyProtection="1"/>
    <xf numFmtId="0" fontId="14" fillId="4" borderId="0" xfId="3" applyFont="1" applyFill="1" applyBorder="1" applyProtection="1"/>
    <xf numFmtId="0" fontId="5" fillId="4" borderId="0" xfId="10" applyFill="1" applyBorder="1" applyProtection="1"/>
    <xf numFmtId="0" fontId="8" fillId="4" borderId="5" xfId="10" applyFont="1" applyFill="1" applyBorder="1" applyProtection="1"/>
    <xf numFmtId="166" fontId="8" fillId="4" borderId="6" xfId="9" applyNumberFormat="1" applyFont="1" applyFill="1" applyBorder="1" applyProtection="1"/>
    <xf numFmtId="4" fontId="8" fillId="4" borderId="6" xfId="9" applyNumberFormat="1" applyFont="1" applyFill="1" applyBorder="1" applyProtection="1"/>
    <xf numFmtId="4" fontId="3" fillId="4" borderId="6" xfId="9" applyNumberFormat="1" applyFont="1" applyFill="1" applyBorder="1" applyProtection="1"/>
    <xf numFmtId="168" fontId="3" fillId="4" borderId="9" xfId="9" applyNumberFormat="1" applyFont="1" applyFill="1" applyBorder="1" applyProtection="1"/>
    <xf numFmtId="0" fontId="15" fillId="4" borderId="2" xfId="0" applyFont="1" applyFill="1" applyBorder="1" applyProtection="1"/>
    <xf numFmtId="0" fontId="0" fillId="4" borderId="4" xfId="0" applyFill="1" applyBorder="1" applyProtection="1"/>
    <xf numFmtId="168" fontId="3" fillId="4" borderId="6" xfId="9" applyNumberFormat="1" applyFont="1" applyFill="1" applyBorder="1" applyProtection="1"/>
    <xf numFmtId="0" fontId="16" fillId="4" borderId="5" xfId="10" applyFont="1" applyFill="1" applyBorder="1" applyProtection="1"/>
    <xf numFmtId="0" fontId="0" fillId="4" borderId="6" xfId="0" applyFill="1" applyBorder="1" applyProtection="1"/>
    <xf numFmtId="0" fontId="15" fillId="4" borderId="5" xfId="0" applyFont="1" applyFill="1" applyBorder="1" applyProtection="1"/>
    <xf numFmtId="0" fontId="5" fillId="4" borderId="0" xfId="10" quotePrefix="1" applyFill="1" applyBorder="1" applyProtection="1"/>
    <xf numFmtId="0" fontId="0" fillId="5" borderId="0" xfId="0" quotePrefix="1" applyFill="1" applyProtection="1"/>
    <xf numFmtId="165" fontId="0" fillId="5" borderId="0" xfId="0" applyNumberFormat="1" applyFont="1" applyFill="1" applyProtection="1"/>
    <xf numFmtId="49" fontId="0" fillId="0" borderId="0" xfId="0" applyNumberFormat="1" applyAlignment="1" applyProtection="1">
      <alignment horizontal="right"/>
    </xf>
    <xf numFmtId="4" fontId="9" fillId="4" borderId="0" xfId="6" applyNumberFormat="1" applyBorder="1" applyProtection="1"/>
    <xf numFmtId="164" fontId="9" fillId="4" borderId="0" xfId="6" applyNumberFormat="1" applyBorder="1" applyProtection="1"/>
    <xf numFmtId="164" fontId="9" fillId="4" borderId="0" xfId="6" applyNumberFormat="1" applyBorder="1" applyAlignment="1" applyProtection="1">
      <alignment horizontal="right"/>
    </xf>
    <xf numFmtId="0" fontId="11" fillId="5" borderId="2" xfId="0" applyFont="1" applyFill="1" applyBorder="1" applyAlignment="1" applyProtection="1">
      <alignment horizontal="center" vertical="top" wrapText="1"/>
    </xf>
    <xf numFmtId="0" fontId="11" fillId="5" borderId="3" xfId="0" applyFont="1" applyFill="1" applyBorder="1" applyAlignment="1" applyProtection="1">
      <alignment horizontal="center" vertical="top" wrapText="1"/>
    </xf>
    <xf numFmtId="0" fontId="11" fillId="5" borderId="4" xfId="0" applyFont="1" applyFill="1" applyBorder="1" applyAlignment="1" applyProtection="1">
      <alignment horizontal="center" vertical="top" wrapText="1"/>
    </xf>
    <xf numFmtId="0" fontId="11" fillId="5" borderId="5" xfId="0" applyFont="1" applyFill="1" applyBorder="1" applyAlignment="1" applyProtection="1">
      <alignment horizontal="center" vertical="top" wrapText="1"/>
    </xf>
    <xf numFmtId="0" fontId="11" fillId="5" borderId="0" xfId="0" applyFont="1" applyFill="1" applyBorder="1" applyAlignment="1" applyProtection="1">
      <alignment horizontal="center" vertical="top" wrapText="1"/>
    </xf>
    <xf numFmtId="0" fontId="11" fillId="5" borderId="6" xfId="0" applyFont="1" applyFill="1" applyBorder="1" applyAlignment="1" applyProtection="1">
      <alignment horizontal="center" vertical="top" wrapText="1"/>
    </xf>
    <xf numFmtId="0" fontId="11" fillId="5" borderId="7" xfId="0" applyFont="1" applyFill="1" applyBorder="1" applyAlignment="1" applyProtection="1">
      <alignment horizontal="center" vertical="top" wrapText="1"/>
    </xf>
    <xf numFmtId="0" fontId="11" fillId="5" borderId="8" xfId="0" applyFont="1" applyFill="1" applyBorder="1" applyAlignment="1" applyProtection="1">
      <alignment horizontal="center" vertical="top" wrapText="1"/>
    </xf>
    <xf numFmtId="0" fontId="11" fillId="5" borderId="9" xfId="0" applyFont="1" applyFill="1" applyBorder="1" applyAlignment="1" applyProtection="1">
      <alignment horizontal="center" vertical="top" wrapText="1"/>
    </xf>
    <xf numFmtId="0" fontId="11" fillId="6" borderId="2" xfId="0" applyFont="1" applyFill="1" applyBorder="1" applyAlignment="1" applyProtection="1">
      <alignment horizontal="left" vertical="top" wrapText="1"/>
    </xf>
    <xf numFmtId="0" fontId="11" fillId="6" borderId="3" xfId="0" applyFont="1" applyFill="1" applyBorder="1" applyAlignment="1" applyProtection="1">
      <alignment horizontal="left" vertical="top" wrapText="1"/>
    </xf>
    <xf numFmtId="0" fontId="11" fillId="6" borderId="4" xfId="0" applyFont="1" applyFill="1" applyBorder="1" applyAlignment="1" applyProtection="1">
      <alignment horizontal="left" vertical="top" wrapText="1"/>
    </xf>
    <xf numFmtId="0" fontId="11" fillId="6" borderId="5" xfId="0" applyFont="1" applyFill="1" applyBorder="1" applyAlignment="1" applyProtection="1">
      <alignment horizontal="left" vertical="top" wrapText="1"/>
    </xf>
    <xf numFmtId="0" fontId="11" fillId="6" borderId="0" xfId="0" applyFont="1" applyFill="1" applyBorder="1" applyAlignment="1" applyProtection="1">
      <alignment horizontal="left" vertical="top" wrapText="1"/>
    </xf>
    <xf numFmtId="0" fontId="11" fillId="6" borderId="6" xfId="0" applyFont="1" applyFill="1" applyBorder="1" applyAlignment="1" applyProtection="1">
      <alignment horizontal="left" vertical="top" wrapText="1"/>
    </xf>
    <xf numFmtId="0" fontId="11" fillId="6" borderId="7" xfId="0" applyFont="1" applyFill="1" applyBorder="1" applyAlignment="1" applyProtection="1">
      <alignment horizontal="left" vertical="top" wrapText="1"/>
    </xf>
    <xf numFmtId="0" fontId="11" fillId="6" borderId="8" xfId="0" applyFont="1" applyFill="1" applyBorder="1" applyAlignment="1" applyProtection="1">
      <alignment horizontal="left" vertical="top" wrapText="1"/>
    </xf>
    <xf numFmtId="0" fontId="11" fillId="6" borderId="9" xfId="0" applyFont="1" applyFill="1" applyBorder="1" applyAlignment="1" applyProtection="1">
      <alignment horizontal="left" vertical="top" wrapText="1"/>
    </xf>
  </cellXfs>
  <cellStyles count="11">
    <cellStyle name="Background" xfId="3"/>
    <cellStyle name="Comment" xfId="4"/>
    <cellStyle name="Input" xfId="1" builtinId="20" hidden="1"/>
    <cellStyle name="Inputs" xfId="6"/>
    <cellStyle name="markets" xfId="8"/>
    <cellStyle name="Normal" xfId="0" builtinId="0"/>
    <cellStyle name="Question" xfId="2"/>
    <cellStyle name="Results" xfId="9"/>
    <cellStyle name="Subheadings" xfId="5"/>
    <cellStyle name="Tables" xfId="10"/>
    <cellStyle name="Titles" xfId="7"/>
  </cellStyles>
  <dxfs count="1">
    <dxf>
      <font>
        <b val="0"/>
        <i/>
        <strike/>
        <color theme="3"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arkets-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tabSelected="1" zoomScaleNormal="100" workbookViewId="0">
      <selection activeCell="D13" sqref="D13"/>
    </sheetView>
  </sheetViews>
  <sheetFormatPr defaultColWidth="9.109375" defaultRowHeight="14.4" x14ac:dyDescent="0.3"/>
  <cols>
    <col min="1" max="2" width="2.88671875" style="2" customWidth="1"/>
    <col min="3" max="3" width="78.88671875" style="2" customWidth="1"/>
    <col min="4" max="4" width="68.109375" style="2" customWidth="1"/>
    <col min="5" max="5" width="1.6640625" style="2" customWidth="1"/>
    <col min="6" max="6" width="26" style="2" customWidth="1"/>
    <col min="7" max="7" width="2.109375" style="2" customWidth="1"/>
    <col min="8" max="8" width="35.88671875" style="2" customWidth="1"/>
    <col min="9" max="9" width="11.33203125" style="2" customWidth="1"/>
    <col min="10" max="10" width="20.109375" style="2" customWidth="1"/>
    <col min="11" max="11" width="8.109375" style="2" customWidth="1"/>
    <col min="12" max="12" width="19.33203125" style="2" customWidth="1"/>
    <col min="13" max="13" width="21.33203125" style="2" customWidth="1"/>
    <col min="14" max="16384" width="9.109375" style="2"/>
  </cols>
  <sheetData>
    <row r="1" spans="1:15" ht="15" customHeight="1" x14ac:dyDescent="0.3">
      <c r="A1" s="1"/>
      <c r="B1" s="80" t="s">
        <v>13</v>
      </c>
      <c r="C1" s="81"/>
      <c r="D1" s="81"/>
      <c r="E1" s="81"/>
      <c r="F1" s="82"/>
      <c r="G1" s="24"/>
      <c r="H1" s="25"/>
      <c r="I1" s="25"/>
      <c r="J1" s="4"/>
      <c r="K1" s="3"/>
    </row>
    <row r="2" spans="1:15" x14ac:dyDescent="0.3">
      <c r="A2" s="1"/>
      <c r="B2" s="83"/>
      <c r="C2" s="84"/>
      <c r="D2" s="84"/>
      <c r="E2" s="84"/>
      <c r="F2" s="85"/>
      <c r="G2" s="24"/>
      <c r="I2" s="25"/>
      <c r="J2" s="3"/>
      <c r="K2" s="3"/>
      <c r="L2" s="35"/>
      <c r="M2" s="35"/>
    </row>
    <row r="3" spans="1:15" x14ac:dyDescent="0.3">
      <c r="A3" s="1"/>
      <c r="B3" s="83"/>
      <c r="C3" s="84"/>
      <c r="D3" s="84"/>
      <c r="E3" s="84"/>
      <c r="F3" s="85"/>
      <c r="G3" s="24"/>
      <c r="H3" s="25"/>
      <c r="I3" s="25"/>
      <c r="J3" s="3"/>
      <c r="K3" s="3"/>
    </row>
    <row r="4" spans="1:15" ht="15" thickBot="1" x14ac:dyDescent="0.35">
      <c r="A4" s="1"/>
      <c r="B4" s="86"/>
      <c r="C4" s="87"/>
      <c r="D4" s="87"/>
      <c r="E4" s="87"/>
      <c r="F4" s="88"/>
      <c r="G4" s="24"/>
      <c r="H4" s="25"/>
      <c r="I4" s="25"/>
      <c r="J4" s="3"/>
      <c r="K4" s="3"/>
    </row>
    <row r="5" spans="1:15" ht="15" customHeight="1" x14ac:dyDescent="0.3">
      <c r="A5" s="1"/>
      <c r="B5" s="89" t="s">
        <v>65</v>
      </c>
      <c r="C5" s="90"/>
      <c r="D5" s="90"/>
      <c r="E5" s="90"/>
      <c r="F5" s="91"/>
      <c r="G5" s="24"/>
      <c r="H5" s="25"/>
      <c r="I5" s="25"/>
      <c r="J5" s="3"/>
      <c r="K5" s="3"/>
    </row>
    <row r="6" spans="1:15" ht="15" customHeight="1" x14ac:dyDescent="0.3">
      <c r="A6" s="1"/>
      <c r="B6" s="92"/>
      <c r="C6" s="93"/>
      <c r="D6" s="93"/>
      <c r="E6" s="93"/>
      <c r="F6" s="94"/>
      <c r="G6" s="24"/>
      <c r="H6" s="25"/>
      <c r="I6" s="25"/>
      <c r="J6" s="3"/>
      <c r="K6" s="3"/>
    </row>
    <row r="7" spans="1:15" s="5" customFormat="1" ht="15" thickBot="1" x14ac:dyDescent="0.35">
      <c r="B7" s="95"/>
      <c r="C7" s="96"/>
      <c r="D7" s="96"/>
      <c r="E7" s="96"/>
      <c r="F7" s="97"/>
      <c r="I7" s="25"/>
    </row>
    <row r="8" spans="1:15" s="5" customFormat="1" ht="21" x14ac:dyDescent="0.35">
      <c r="B8" s="6"/>
      <c r="C8" s="7" t="s">
        <v>53</v>
      </c>
      <c r="D8" s="8"/>
      <c r="E8" s="8"/>
      <c r="F8" s="9"/>
      <c r="H8" s="10" t="s">
        <v>14</v>
      </c>
      <c r="I8" s="10"/>
      <c r="J8" s="10"/>
      <c r="K8" s="10"/>
      <c r="L8" s="37"/>
      <c r="M8" s="37"/>
      <c r="N8" s="37"/>
    </row>
    <row r="9" spans="1:15" s="5" customFormat="1" ht="21" x14ac:dyDescent="0.35">
      <c r="B9" s="11"/>
      <c r="C9" s="12" t="s">
        <v>56</v>
      </c>
      <c r="D9" s="13"/>
      <c r="E9" s="13"/>
      <c r="F9" s="14"/>
      <c r="H9" s="37"/>
      <c r="I9" s="37" t="s">
        <v>42</v>
      </c>
      <c r="J9" s="37" t="s">
        <v>42</v>
      </c>
      <c r="K9" s="55" t="s">
        <v>42</v>
      </c>
      <c r="L9" s="37" t="s">
        <v>43</v>
      </c>
      <c r="M9" s="37" t="s">
        <v>43</v>
      </c>
      <c r="N9" s="37" t="s">
        <v>43</v>
      </c>
    </row>
    <row r="10" spans="1:15" ht="21" x14ac:dyDescent="0.35">
      <c r="B10" s="11"/>
      <c r="C10" s="12"/>
      <c r="D10" s="13"/>
      <c r="E10" s="13"/>
      <c r="F10" s="14"/>
      <c r="H10" s="15" t="s">
        <v>7</v>
      </c>
      <c r="I10" s="15"/>
      <c r="J10" s="16">
        <f>IF(AND(accruedmethod&lt;&gt;sifma,DAY(maturity)&lt;&gt;31,DAY(maturity+1)=1,monthend&lt;&gt;"MONTH-END",OR(DAY(maturity)=28,MONTH(COUPPCD(startdate,maturity,couponfrequency,1))&lt;&gt;2)),COUPPCD(startdate,maturity,couponfrequency,1)-DAY(COUPPCD(startdate,maturity,couponfrequency,1))+DAY(maturity),COUPPCD(startdate,maturity,couponfrequency,1))</f>
        <v>40752</v>
      </c>
      <c r="K10" s="56"/>
      <c r="L10" s="15"/>
      <c r="M10" s="16">
        <f>IF(AND(accruedmethod&lt;&gt;sifma,DAY(maturity)&lt;&gt;31,DAY(maturity+1)=1,monthend&lt;&gt;"MONTH-END",OR(DAY(maturity)=28,MONTH(COUPPCD(enddate,maturity,couponfrequency,1))&lt;&gt;2)),COUPPCD(enddate,maturity,couponfrequency,1)-DAY(COUPPCD(enddate,maturity,couponfrequency,1))+DAY(maturity),COUPPCD(enddate,maturity,couponfrequency,1))</f>
        <v>41118</v>
      </c>
      <c r="N10" s="10"/>
    </row>
    <row r="11" spans="1:15" ht="18.75" x14ac:dyDescent="0.3">
      <c r="B11" s="11"/>
      <c r="C11" s="13"/>
      <c r="D11" s="17" t="s">
        <v>0</v>
      </c>
      <c r="E11" s="13"/>
      <c r="F11" s="14"/>
      <c r="H11" s="15" t="s">
        <v>10</v>
      </c>
      <c r="I11" s="15"/>
      <c r="J11" s="16">
        <f>IF(AND(accruedmethod&lt;&gt;sifma,DAY(maturity)&lt;&gt;31,DAY(maturity+1)=1,monthend&lt;&gt;"MONTH-END",OR(DAY(maturity)=28,MONTH(COUPNCD(startdate,maturity,couponfrequency,1))&lt;&gt;2)),COUPNCD(startdate,maturity,couponfrequency,1)-DAY(COUPNCD(startdate,maturity,couponfrequency,1))+DAY(maturity),COUPNCD(startdate,maturity,couponfrequency,1))</f>
        <v>41118</v>
      </c>
      <c r="K11" s="56"/>
      <c r="L11" s="15"/>
      <c r="M11" s="16">
        <f>IF(AND(accruedmethod&lt;&gt;sifma,DAY(maturity)&lt;&gt;31,DAY(maturity+1)=1,monthend&lt;&gt;"MONTH-END",OR(DAY(maturity)=28,MONTH(COUPNCD(enddate,maturity,couponfrequency,1))&lt;&gt;2)),COUPNCD(enddate,maturity,couponfrequency,1)-DAY(COUPNCD(enddate,maturity,couponfrequency,1))+DAY(maturity),COUPNCD(enddate,maturity,couponfrequency,1))</f>
        <v>41483</v>
      </c>
      <c r="N11" s="10"/>
    </row>
    <row r="12" spans="1:15" ht="18.75" x14ac:dyDescent="0.3">
      <c r="B12" s="11"/>
      <c r="C12" s="51" t="s">
        <v>36</v>
      </c>
      <c r="D12" s="52"/>
      <c r="E12" s="13"/>
      <c r="F12" s="14"/>
      <c r="H12" s="10" t="s">
        <v>12</v>
      </c>
      <c r="I12" s="10"/>
      <c r="J12" s="10">
        <f>VLOOKUP(accruedmethod,methodtable,3,FALSE)</f>
        <v>354</v>
      </c>
      <c r="K12" s="56"/>
      <c r="L12" s="10"/>
      <c r="M12" s="10">
        <f>VLOOKUP(accruedmethod,methodtable,6,FALSE)</f>
        <v>16</v>
      </c>
      <c r="N12" s="10"/>
      <c r="O12" s="25"/>
    </row>
    <row r="13" spans="1:15" ht="15" x14ac:dyDescent="0.25">
      <c r="B13" s="11"/>
      <c r="C13" s="47" t="s">
        <v>37</v>
      </c>
      <c r="D13" s="29">
        <v>41106</v>
      </c>
      <c r="E13" s="13"/>
      <c r="F13" s="19" t="s">
        <v>15</v>
      </c>
      <c r="H13" s="10" t="s">
        <v>32</v>
      </c>
      <c r="I13" s="10"/>
      <c r="J13" s="10">
        <f>VLOOKUP(accruedmethod,methodtable,2,FALSE)</f>
        <v>12</v>
      </c>
      <c r="K13" s="56"/>
      <c r="L13" s="10"/>
      <c r="M13" s="10">
        <f>VLOOKUP(accruedmethod,methodtable,5,FALSE)</f>
        <v>349</v>
      </c>
      <c r="N13" s="10"/>
    </row>
    <row r="14" spans="1:15" ht="15" x14ac:dyDescent="0.25">
      <c r="B14" s="11"/>
      <c r="C14" s="47" t="s">
        <v>38</v>
      </c>
      <c r="D14" s="29">
        <v>41134</v>
      </c>
      <c r="E14" s="13"/>
      <c r="F14" s="19" t="s">
        <v>15</v>
      </c>
      <c r="H14" s="10" t="s">
        <v>11</v>
      </c>
      <c r="I14" s="10"/>
      <c r="J14" s="10">
        <f>VLOOKUP(accruedmethod,methodtable,4,FALSE)</f>
        <v>366</v>
      </c>
      <c r="K14" s="56"/>
      <c r="L14" s="10"/>
      <c r="M14" s="10">
        <f>VLOOKUP(accruedmethod,methodtable,7,FALSE)</f>
        <v>365</v>
      </c>
      <c r="N14" s="10"/>
    </row>
    <row r="15" spans="1:15" ht="15" x14ac:dyDescent="0.25">
      <c r="B15" s="11"/>
      <c r="C15" s="47" t="s">
        <v>46</v>
      </c>
      <c r="D15" s="27">
        <v>0.04</v>
      </c>
      <c r="E15" s="13"/>
      <c r="F15" s="19" t="s">
        <v>6</v>
      </c>
      <c r="H15" s="10"/>
      <c r="I15" s="10"/>
      <c r="J15" s="10"/>
      <c r="K15" s="56"/>
      <c r="L15" s="10"/>
      <c r="M15" s="10"/>
      <c r="N15" s="10"/>
    </row>
    <row r="16" spans="1:15" ht="15" x14ac:dyDescent="0.25">
      <c r="B16" s="11"/>
      <c r="C16" s="61" t="s">
        <v>39</v>
      </c>
      <c r="D16" s="53">
        <v>360</v>
      </c>
      <c r="E16" s="13"/>
      <c r="F16" s="14"/>
      <c r="H16" s="10" t="s">
        <v>66</v>
      </c>
      <c r="I16" s="10"/>
      <c r="J16" s="37"/>
      <c r="K16" s="56"/>
      <c r="L16" s="37"/>
      <c r="M16" s="37"/>
      <c r="N16" s="37"/>
    </row>
    <row r="17" spans="2:14" ht="15" x14ac:dyDescent="0.25">
      <c r="B17" s="11"/>
      <c r="C17" s="73" t="s">
        <v>69</v>
      </c>
      <c r="D17" s="40" t="s">
        <v>63</v>
      </c>
      <c r="E17" s="43" t="str">
        <f>""</f>
        <v/>
      </c>
      <c r="F17" s="19" t="s">
        <v>29</v>
      </c>
      <c r="H17" s="37" t="s">
        <v>63</v>
      </c>
      <c r="I17" s="75">
        <f>IF(D17="Neither (i.e. zero)",0,IF(D17="'Initial margin' method",D18,1/(1-D20)-1))</f>
        <v>0</v>
      </c>
      <c r="J17" s="41"/>
      <c r="K17" s="56"/>
      <c r="L17" s="10"/>
      <c r="M17" s="41"/>
      <c r="N17" s="10"/>
    </row>
    <row r="18" spans="2:14" ht="15" x14ac:dyDescent="0.25">
      <c r="B18" s="11"/>
      <c r="C18" s="18" t="s">
        <v>67</v>
      </c>
      <c r="D18" s="27">
        <v>0</v>
      </c>
      <c r="E18" s="13"/>
      <c r="F18" s="19" t="s">
        <v>6</v>
      </c>
      <c r="H18" s="74" t="s">
        <v>62</v>
      </c>
      <c r="I18" s="75">
        <f>1-1/(1+I17)</f>
        <v>0</v>
      </c>
      <c r="J18" s="10"/>
      <c r="K18" s="56"/>
      <c r="L18" s="10"/>
      <c r="M18" s="10"/>
      <c r="N18" s="10"/>
    </row>
    <row r="19" spans="2:14" ht="15.75" customHeight="1" x14ac:dyDescent="0.3">
      <c r="B19" s="11"/>
      <c r="C19" s="18" t="s">
        <v>64</v>
      </c>
      <c r="D19" s="52"/>
      <c r="E19" s="13"/>
      <c r="F19" s="14"/>
      <c r="H19" s="15"/>
      <c r="I19" s="20" t="s">
        <v>9</v>
      </c>
      <c r="J19" s="20" t="s">
        <v>8</v>
      </c>
      <c r="K19" s="57" t="s">
        <v>18</v>
      </c>
      <c r="L19" s="20" t="s">
        <v>9</v>
      </c>
      <c r="M19" s="20" t="s">
        <v>8</v>
      </c>
      <c r="N19" s="34" t="s">
        <v>18</v>
      </c>
    </row>
    <row r="20" spans="2:14" ht="15" x14ac:dyDescent="0.25">
      <c r="B20" s="11"/>
      <c r="C20" s="18" t="s">
        <v>68</v>
      </c>
      <c r="D20" s="27">
        <v>0</v>
      </c>
      <c r="F20" s="19" t="s">
        <v>6</v>
      </c>
      <c r="H20" s="10" t="s">
        <v>28</v>
      </c>
      <c r="I20" s="33">
        <f>DAYS360(startdate,nextcoupon,TRUE)+IF(OR(AND(MOD(YEAR(startdate),4)&lt;&gt;0,DAY(startdate)=28),AND(MOD(YEAR(startdate),4)=0,DAY(startdate)=29)),DAY(startdate)-30,0)+IF(AND(nextcoupon&lt;maturity,OR(AND(MOD(YEAR(nextcoupon),4)&lt;&gt;0,DAY(nextcoupon)=28),AND(MOD(YEAR(nextcoupon),4)=0,DAY(nextcoupon)=29))),30-DAY(nextcoupon),0)</f>
        <v>12</v>
      </c>
      <c r="J20" s="33">
        <f>DAYS360(lastcoupon,startdate,TRUE)+IF(OR(AND(MOD(YEAR(lastcoupon),4)&lt;&gt;0,DAY(lastcoupon)=28),AND(MOD(YEAR(lastcoupon),4)=0,DAY(lastcoupon)=29)),DAY(lastcoupon)-30,0)+IF(AND(startdate&lt;maturity,OR(AND(MOD(YEAR(startdate),4)&lt;&gt;0,DAY(startdate)=28),AND(MOD(YEAR(startdate),4)=0,DAY(startdate)=29))),30-DAY(startdate),0)</f>
        <v>346</v>
      </c>
      <c r="K20" s="58">
        <v>360</v>
      </c>
      <c r="L20" s="33">
        <f>DAYS360(enddate,nextcouponend,TRUE)+IF(OR(AND(MOD(YEAR(enddate),4)&lt;&gt;0,DAY(enddate)=28),AND(MOD(YEAR(enddate),4)=0,DAY(enddate)=29)),DAY(enddate)-30,0)+IF(AND(nextcouponend&lt;maturity,OR(AND(MOD(YEAR(nextcouponend),4)&lt;&gt;0,DAY(nextcouponend)=28),AND(MOD(YEAR(nextcouponend),4)=0,DAY(nextcouponend)=29))),30-DAY(nextcouponend),0)</f>
        <v>347</v>
      </c>
      <c r="M20" s="33">
        <f>DAYS360(lastcouponend,enddate,TRUE)+IF(OR(AND(MOD(YEAR(lastcouponend),4)&lt;&gt;0,DAY(lastcouponend)=28),AND(MOD(YEAR(lastcouponend),4)=0,DAY(lastcouponend)=29)),DAY(lastcouponend)-30,0)+IF(AND(enddate&lt;maturity,OR(AND(MOD(YEAR(enddate),4)&lt;&gt;0,DAY(enddate)=28),AND(MOD(YEAR(enddate),4)=0,DAY(enddate)=29))),30-DAY(enddate),0)</f>
        <v>15</v>
      </c>
      <c r="N20" s="33">
        <v>360</v>
      </c>
    </row>
    <row r="21" spans="2:14" ht="18.75" x14ac:dyDescent="0.3">
      <c r="B21" s="11"/>
      <c r="C21" s="51" t="s">
        <v>40</v>
      </c>
      <c r="D21" s="52"/>
      <c r="E21" s="13"/>
      <c r="F21" s="14"/>
      <c r="H21" s="37" t="s">
        <v>23</v>
      </c>
      <c r="I21" s="36">
        <f>DAYS360(startdate,nextcoupon,TRUE)</f>
        <v>12</v>
      </c>
      <c r="J21" s="36">
        <f>DAYS360(lastcoupon,startdate,TRUE)</f>
        <v>348</v>
      </c>
      <c r="K21" s="59">
        <v>360</v>
      </c>
      <c r="L21" s="36">
        <f>DAYS360(enddate,nextcouponend,TRUE)</f>
        <v>345</v>
      </c>
      <c r="M21" s="36">
        <f>DAYS360(lastcouponend,enddate,TRUE)</f>
        <v>15</v>
      </c>
      <c r="N21" s="36">
        <v>360</v>
      </c>
    </row>
    <row r="22" spans="2:14" ht="15" x14ac:dyDescent="0.25">
      <c r="B22" s="11"/>
      <c r="C22" s="47" t="s">
        <v>41</v>
      </c>
      <c r="D22" s="27">
        <v>8.5000000000000006E-2</v>
      </c>
      <c r="E22" s="13"/>
      <c r="F22" s="19" t="s">
        <v>6</v>
      </c>
      <c r="H22" s="32" t="s">
        <v>20</v>
      </c>
      <c r="I22" s="36">
        <f>DAYS360(startdate,nextcoupon,TRUE)+IF(OR(AND(MOD(YEAR(startdate),4)&lt;&gt;0,DAY(startdate)=28),AND(MOD(YEAR(startdate),4)=0,DAY(startdate)=29)),DAY(startdate)-30,0)+IF(OR(AND(MOD(YEAR(nextcoupon),4)&lt;&gt;0,DAY(nextcoupon)=28),AND(MOD(YEAR(nextcoupon),4)=0,DAY(nextcoupon)=29)),30-DAY(nextcoupon),0)</f>
        <v>12</v>
      </c>
      <c r="J22" s="36">
        <f>DAYS360(lastcoupon,startdate,TRUE)+IF(OR(AND(MOD(YEAR(lastcoupon),4)&lt;&gt;0,DAY(lastcoupon)=28),AND(MOD(YEAR(lastcoupon),4)=0,DAY(lastcoupon)=29)),DAY(lastcoupon)-30,0)+IF(OR(AND(MOD(YEAR(startdate),4)&lt;&gt;0,DAY(startdate)=28),AND(MOD(YEAR(startdate),4)=0,DAY(startdate)=29)),30-DAY(startdate),0)</f>
        <v>346</v>
      </c>
      <c r="K22" s="58">
        <v>360</v>
      </c>
      <c r="L22" s="36">
        <f>DAYS360(enddate,nextcouponend,TRUE)+IF(OR(AND(MOD(YEAR(enddate),4)&lt;&gt;0,DAY(enddate)=28),AND(MOD(YEAR(enddate),4)=0,DAY(enddate)=29)),DAY(enddate)-30,0)+IF(OR(AND(MOD(YEAR(nextcouponend),4)&lt;&gt;0,DAY(nextcouponend)=28),AND(MOD(YEAR(nextcouponend),4)=0,DAY(nextcouponend)=29)),30-DAY(nextcouponend),0)</f>
        <v>347</v>
      </c>
      <c r="M22" s="36">
        <f>DAYS360(lastcouponend,enddate,TRUE)+IF(OR(AND(MOD(YEAR(lastcouponend),4)&lt;&gt;0,DAY(lastcouponend)=28),AND(MOD(YEAR(lastcouponend),4)=0,DAY(lastcouponend)=29)),DAY(lastcouponend)-30,0)+IF(OR(AND(MOD(YEAR(enddate),4)&lt;&gt;0,DAY(enddate)=28),AND(MOD(YEAR(enddate),4)=0,DAY(enddate)=29)),30-DAY(enddate),0)</f>
        <v>15</v>
      </c>
      <c r="N22" s="33">
        <v>360</v>
      </c>
    </row>
    <row r="23" spans="2:14" ht="15" x14ac:dyDescent="0.25">
      <c r="B23" s="11"/>
      <c r="C23" s="18" t="s">
        <v>30</v>
      </c>
      <c r="D23" s="28">
        <v>1</v>
      </c>
      <c r="E23" s="13"/>
      <c r="F23" s="19"/>
      <c r="H23" s="10" t="s">
        <v>24</v>
      </c>
      <c r="I23" s="36">
        <f>DAYS360(startdate,nextcoupon,TRUE)+IF(AND(DAY(nextcoupon)=31,DAY(startdate)&lt;30),1,0)</f>
        <v>12</v>
      </c>
      <c r="J23" s="36">
        <f>DAYS360(lastcoupon,startdate,TRUE)+IF(AND(DAY(startdate)=31,DAY(lastcoupon)&lt;30),1,0)</f>
        <v>348</v>
      </c>
      <c r="K23" s="59">
        <v>360</v>
      </c>
      <c r="L23" s="36">
        <f>DAYS360(enddate,nextcouponend,TRUE)+IF(AND(DAY(nextcouponend)=31,DAY(enddate)&lt;30),1,0)</f>
        <v>345</v>
      </c>
      <c r="M23" s="36">
        <f>DAYS360(lastcouponend,enddate,TRUE)+IF(AND(DAY(enddate)=31,DAY(lastcouponend)&lt;30),1,0)</f>
        <v>15</v>
      </c>
      <c r="N23" s="36">
        <v>360</v>
      </c>
    </row>
    <row r="24" spans="2:14" ht="15" x14ac:dyDescent="0.25">
      <c r="B24" s="11"/>
      <c r="C24" s="18" t="s">
        <v>2</v>
      </c>
      <c r="D24" s="29">
        <v>42944</v>
      </c>
      <c r="E24" s="13"/>
      <c r="F24" s="19" t="s">
        <v>15</v>
      </c>
      <c r="H24" s="10" t="s">
        <v>25</v>
      </c>
      <c r="I24" s="33">
        <f>DAYS360(startdate,nextcoupon,TRUE)+IF(AND(DAY(nextcoupon)=31,DAY(startdate)&lt;30),1,0)+IF(OR(AND(MOD(YEAR(startdate),4)&lt;&gt;0,DAY(startdate)=28),AND(MOD(YEAR(startdate),4)=0,DAY(startdate)=29)),DAY(startdate)-30,0)+IF(AND(OR(AND(MOD(YEAR(nextcoupon),4)&lt;&gt;0,DAY(nextcoupon)=28),AND(MOD(YEAR(nextcoupon),4)=0,DAY(nextcoupon)=29)),OR(AND(MOD(YEAR(startdate),4)&lt;&gt;0,DAY(startdate)=28),AND(MOD(YEAR(startdate),4)=0,DAY(startdate)=29))),30-DAY(nextcoupon),0)</f>
        <v>12</v>
      </c>
      <c r="J24" s="33">
        <f>DAYS360(lastcoupon,startdate,TRUE)+IF(AND(DAY(startdate)=31,DAY(lastcoupon)&lt;30),1,0)+IF(OR(AND(MOD(YEAR(lastcoupon),4)&lt;&gt;0,DAY(lastcoupon)=28),AND(MOD(YEAR(lastcoupon),4)=0,DAY(lastcoupon)=29)),DAY(lastcoupon)-30,0)+IF(AND(OR(AND(MOD(YEAR(startdate),4)&lt;&gt;0,DAY(startdate)=28),AND(MOD(YEAR(startdate),4)=0,DAY(startdate)=29)),OR(AND(MOD(YEAR(lastcoupon),4)&lt;&gt;0,DAY(lastcoupon)=28),AND(MOD(YEAR(lastcoupon),4)=0,DAY(lastcoupon)=29))),30-DAY(startdate),0)</f>
        <v>346</v>
      </c>
      <c r="K24" s="58">
        <v>360</v>
      </c>
      <c r="L24" s="33">
        <f>DAYS360(enddate,nextcouponend,TRUE)+IF(AND(DAY(nextcouponend)=31,DAY(enddate)&lt;30),1,0)+IF(OR(AND(MOD(YEAR(enddate),4)&lt;&gt;0,DAY(enddate)=28),AND(MOD(YEAR(enddate),4)=0,DAY(enddate)=29)),DAY(enddate)-30,0)+IF(AND(OR(AND(MOD(YEAR(nextcouponend),4)&lt;&gt;0,DAY(nextcouponend)=28),AND(MOD(YEAR(nextcouponend),4)=0,DAY(nextcouponend)=29)),OR(AND(MOD(YEAR(enddate),4)&lt;&gt;0,DAY(enddate)=28),AND(MOD(YEAR(enddate),4)=0,DAY(enddate)=29))),30-DAY(nextcouponend),0)</f>
        <v>345</v>
      </c>
      <c r="M24" s="33">
        <f>DAYS360(lastcouponend,enddate,TRUE)+IF(AND(DAY(enddate)=31,DAY(lastcouponend)&lt;30),1,0)+IF(OR(AND(MOD(YEAR(lastcouponend),4)&lt;&gt;0,DAY(lastcouponend)=28),AND(MOD(YEAR(lastcouponend),4)=0,DAY(lastcouponend)=29)),DAY(lastcouponend)-30,0)+IF(AND(OR(AND(MOD(YEAR(enddate),4)&lt;&gt;0,DAY(enddate)=28),AND(MOD(YEAR(enddate),4)=0,DAY(enddate)=29)),OR(AND(MOD(YEAR(lastcouponend),4)&lt;&gt;0,DAY(lastcouponend)=28),AND(MOD(YEAR(lastcouponend),4)=0,DAY(lastcouponend)=29))),30-DAY(enddate),0)</f>
        <v>15</v>
      </c>
      <c r="N24" s="33">
        <v>360</v>
      </c>
    </row>
    <row r="25" spans="2:14" ht="15" x14ac:dyDescent="0.25">
      <c r="B25" s="11"/>
      <c r="C25" s="18"/>
      <c r="D25" s="78"/>
      <c r="E25" s="13"/>
      <c r="F25" s="19"/>
      <c r="H25" s="15" t="s">
        <v>26</v>
      </c>
      <c r="I25" s="36">
        <f>nextcoupon-startdate</f>
        <v>12</v>
      </c>
      <c r="J25" s="36">
        <f>startdate-lastcoupon</f>
        <v>354</v>
      </c>
      <c r="K25" s="59">
        <f>(nextcoupon-lastcoupon)*couponfrequency</f>
        <v>366</v>
      </c>
      <c r="L25" s="36">
        <f>nextcouponend-enddate</f>
        <v>349</v>
      </c>
      <c r="M25" s="36">
        <f>enddate-lastcouponend</f>
        <v>16</v>
      </c>
      <c r="N25" s="36">
        <f>(nextcouponend-lastcouponend)*couponfrequency</f>
        <v>365</v>
      </c>
    </row>
    <row r="26" spans="2:14" ht="15" x14ac:dyDescent="0.25">
      <c r="B26" s="46"/>
      <c r="C26" s="18" t="str">
        <f>IF(AND(DAY(maturity)&lt;&gt;31,DAY(maturity+1)=1),"Are coupon payments always at month-end, or on the same date in each coupon month?","")</f>
        <v/>
      </c>
      <c r="D26" s="79" t="s">
        <v>34</v>
      </c>
      <c r="E26" s="13"/>
      <c r="F26" s="19" t="str">
        <f>IF(AND(DAY(maturity)&lt;&gt;31,DAY(maturity+1)=1),"click the arrow and choose","")</f>
        <v/>
      </c>
      <c r="H26" s="15" t="s">
        <v>21</v>
      </c>
      <c r="I26" s="36">
        <f>nextcoupon-startdate</f>
        <v>12</v>
      </c>
      <c r="J26" s="36">
        <f>startdate-lastcoupon</f>
        <v>354</v>
      </c>
      <c r="K26" s="59">
        <v>365</v>
      </c>
      <c r="L26" s="36">
        <f>nextcouponend-enddate</f>
        <v>349</v>
      </c>
      <c r="M26" s="36">
        <f>enddate-lastcouponend</f>
        <v>16</v>
      </c>
      <c r="N26" s="36">
        <v>365</v>
      </c>
    </row>
    <row r="27" spans="2:14" ht="15" x14ac:dyDescent="0.25">
      <c r="B27" s="46"/>
      <c r="C27" s="18" t="s">
        <v>3</v>
      </c>
      <c r="D27" s="38" t="s">
        <v>27</v>
      </c>
      <c r="E27" s="43" t="str">
        <f>""</f>
        <v/>
      </c>
      <c r="F27" s="19" t="s">
        <v>29</v>
      </c>
      <c r="H27" s="32" t="s">
        <v>19</v>
      </c>
      <c r="I27" s="33">
        <f>nextcoupon-startdate</f>
        <v>12</v>
      </c>
      <c r="J27" s="33">
        <f>startdate-lastcoupon</f>
        <v>354</v>
      </c>
      <c r="K27" s="58">
        <f>IF(MOD(YEAR(lastcoupon),4)=0,IF(lastcoupon&lt;DATEVALUE(TEXT(29,"#")&amp;"/"&amp;TEXT(2,"#")&amp;"/"&amp;TEXT(YEAR(lastcoupon),"#")),IF(nextcoupon&gt;DATEVALUE(TEXT(29,"#")&amp;"/"&amp;TEXT(2,"#")&amp;"/"&amp;TEXT(YEAR(lastcoupon),"#")),366,365),IF(nextcoupon&gt;DATEVALUE(TEXT(29,"#")&amp;"/"&amp;TEXT(2,"#")&amp;"/"&amp;TEXT(YEAR(lastcoupon)+4,"#")),366,365)),IF(nextcoupon&gt;DATEVALUE(TEXT(29,"#")&amp;"/"&amp;TEXT(2,"#")&amp;"/"&amp;TEXT(YEAR(lastcoupon)+4-MOD(YEAR(lastcoupon),4),"#")),366,365))</f>
        <v>366</v>
      </c>
      <c r="L27" s="33">
        <f>nextcouponend-enddate</f>
        <v>349</v>
      </c>
      <c r="M27" s="33">
        <f>enddate-lastcouponend</f>
        <v>16</v>
      </c>
      <c r="N27" s="33">
        <f>IF(MOD(YEAR(lastcouponend),4)=0,IF(lastcouponend&lt;DATEVALUE(TEXT(29,"#")&amp;"/"&amp;TEXT(2,"#")&amp;"/"&amp;TEXT(YEAR(lastcouponend),"#")),IF(nextcouponend&gt;DATEVALUE(TEXT(29,"#")&amp;"/"&amp;TEXT(2,"#")&amp;"/"&amp;TEXT(YEAR(lastcouponend),"#")),366,365),IF(nextcouponend&gt;DATEVALUE(TEXT(29,"#")&amp;"/"&amp;TEXT(2,"#")&amp;"/"&amp;TEXT(YEAR(lastcouponend)+4,"#")),366,365)),IF(nextcouponend&gt;DATEVALUE(TEXT(29,"#")&amp;"/"&amp;TEXT(2,"#")&amp;"/"&amp;TEXT(YEAR(lastcouponend)+4-MOD(YEAR(lastcouponend),4),"#")),366,365))</f>
        <v>365</v>
      </c>
    </row>
    <row r="28" spans="2:14" ht="15" x14ac:dyDescent="0.25">
      <c r="B28" s="46"/>
      <c r="C28" s="18" t="s">
        <v>47</v>
      </c>
      <c r="D28" s="40" t="s">
        <v>31</v>
      </c>
      <c r="E28" s="13"/>
      <c r="F28" s="19" t="s">
        <v>29</v>
      </c>
      <c r="H28" s="15" t="s">
        <v>22</v>
      </c>
      <c r="I28" s="33">
        <f>IF(MOD(YEAR(startdate),4)=0,IF(OR(MONTH(startdate)=1,AND(MONTH(startdate)=2,DAY(startdate)&lt;29)),IF(nextcoupon&gt;DATEVALUE(TEXT(28,"#")&amp;"/"&amp;TEXT(2,"#")&amp;"/"&amp;TEXT(YEAR(startdate),"#")),nextcoupon-startdate-1,nextcoupon-startdate),IF(nextcoupon&gt;DATEVALUE(TEXT(28,"#")&amp;"/"&amp;TEXT(2,"#")&amp;"/"&amp;TEXT(YEAR(startdate)+4,"#")),nextcoupon-startdate-1,nextcoupon-startdate)),IF(nextcoupon&gt;DATEVALUE(TEXT(28,"#")&amp;"/"&amp;TEXT(2,"#")&amp;"/"&amp;TEXT(YEAR(startdate)+4-MOD(YEAR(startdate),4),"#")),nextcoupon-startdate-1,nextcoupon-startdate))</f>
        <v>12</v>
      </c>
      <c r="J28" s="33">
        <f>IF(MOD(YEAR(lastcoupon),4)=0,IF(OR(MONTH(lastcoupon)=1,AND(MONTH(lastcoupon)=2,DAY(lastcoupon)&lt;29)),IF(startdate&gt;DATEVALUE(TEXT(28,"#")&amp;"/"&amp;TEXT(2,"#")&amp;"/"&amp;TEXT(YEAR(lastcoupon),"#")),startdate-lastcoupon-1,startdate-lastcoupon),IF(startdate&gt;DATEVALUE(TEXT(28,"#")&amp;"/"&amp;TEXT(2,"#")&amp;"/"&amp;TEXT(YEAR(lastcoupon)+4,"#")),startdate-lastcoupon-1,startdate-lastcoupon)),IF(startdate&gt;DATEVALUE(TEXT(28,"#")&amp;"/"&amp;TEXT(2,"#")&amp;"/"&amp;TEXT(YEAR(lastcoupon)+4-MOD(YEAR(lastcoupon),4),"#")),startdate-lastcoupon-1,startdate-lastcoupon))</f>
        <v>353</v>
      </c>
      <c r="K28" s="59">
        <v>365</v>
      </c>
      <c r="L28" s="33">
        <f>IF(MOD(YEAR(enddate),4)=0,IF(OR(MONTH(enddate)=1,AND(MONTH(enddate)=2,DAY(enddate)&lt;29)),IF(nextcouponend&gt;DATEVALUE(TEXT(28,"#")&amp;"/"&amp;TEXT(2,"#")&amp;"/"&amp;TEXT(YEAR(enddate),"#")),nextcouponend-enddate-1,nextcouponend-enddate),IF(nextcouponend&gt;DATEVALUE(TEXT(28,"#")&amp;"/"&amp;TEXT(2,"#")&amp;"/"&amp;TEXT(YEAR(enddate)+4,"#")),nextcouponend-enddate-1,nextcouponend-enddate)),IF(nextcouponend&gt;DATEVALUE(TEXT(28,"#")&amp;"/"&amp;TEXT(2,"#")&amp;"/"&amp;TEXT(YEAR(enddate)+4-MOD(YEAR(enddate),4),"#")),nextcouponend-enddate-1,nextcouponend-enddate))</f>
        <v>349</v>
      </c>
      <c r="M28" s="33">
        <f>IF(MOD(YEAR(lastcouponend),4)=0,IF(OR(MONTH(lastcouponend)=1,AND(MONTH(lastcouponend)=2,DAY(lastcouponend)&lt;29)),IF(enddate&gt;DATEVALUE(TEXT(28,"#")&amp;"/"&amp;TEXT(2,"#")&amp;"/"&amp;TEXT(YEAR(lastcouponend),"#")),enddate-lastcouponend-1,enddate-lastcouponend),IF(enddate&gt;DATEVALUE(TEXT(28,"#")&amp;"/"&amp;TEXT(2,"#")&amp;"/"&amp;TEXT(YEAR(lastcouponend)+4,"#")),enddate-lastcouponend-1,enddate-lastcouponend)),IF(enddate&gt;DATEVALUE(TEXT(28,"#")&amp;"/"&amp;TEXT(2,"#")&amp;"/"&amp;TEXT(YEAR(lastcouponend)+4-MOD(YEAR(lastcouponend),4),"#")),enddate-lastcouponend-1,enddate-lastcouponend))</f>
        <v>16</v>
      </c>
      <c r="N28" s="36">
        <v>365</v>
      </c>
    </row>
    <row r="29" spans="2:14" ht="15" x14ac:dyDescent="0.25">
      <c r="B29" s="46"/>
      <c r="C29" s="18" t="s">
        <v>44</v>
      </c>
      <c r="D29" s="42">
        <v>108.95</v>
      </c>
      <c r="E29" s="13"/>
      <c r="F29" s="31"/>
      <c r="H29" s="10" t="s">
        <v>17</v>
      </c>
      <c r="I29" s="33">
        <f>nextcoupon-startdate</f>
        <v>12</v>
      </c>
      <c r="J29" s="33">
        <f>startdate-lastcoupon</f>
        <v>354</v>
      </c>
      <c r="K29" s="58">
        <f>IF(MOD(YEAR(nextcoupon),4)=0,366,365)</f>
        <v>366</v>
      </c>
      <c r="L29" s="33">
        <f>nextcouponend-enddate</f>
        <v>349</v>
      </c>
      <c r="M29" s="33">
        <f>enddate-lastcouponend</f>
        <v>16</v>
      </c>
      <c r="N29" s="33">
        <f>IF(MOD(YEAR(nextcouponend),4)=0,366,365)</f>
        <v>365</v>
      </c>
    </row>
    <row r="30" spans="2:14" ht="15" x14ac:dyDescent="0.25">
      <c r="B30" s="48"/>
      <c r="C30" s="18" t="s">
        <v>61</v>
      </c>
      <c r="D30" s="26">
        <v>25000000</v>
      </c>
      <c r="E30" s="13"/>
      <c r="F30" s="31" t="s">
        <v>16</v>
      </c>
      <c r="H30" s="15" t="s">
        <v>4</v>
      </c>
      <c r="I30" s="36">
        <f>nextcoupon-startdate</f>
        <v>12</v>
      </c>
      <c r="J30" s="36">
        <f>startdate-lastcoupon</f>
        <v>354</v>
      </c>
      <c r="K30" s="59">
        <v>360</v>
      </c>
      <c r="L30" s="36">
        <f>nextcouponend-enddate</f>
        <v>349</v>
      </c>
      <c r="M30" s="36">
        <f>enddate-lastcouponend</f>
        <v>16</v>
      </c>
      <c r="N30" s="36">
        <v>360</v>
      </c>
    </row>
    <row r="31" spans="2:14" x14ac:dyDescent="0.3">
      <c r="B31" s="48"/>
      <c r="C31" s="18" t="s">
        <v>57</v>
      </c>
      <c r="D31" s="77"/>
      <c r="E31" s="13"/>
      <c r="F31" s="31"/>
      <c r="H31" s="15" t="s">
        <v>70</v>
      </c>
      <c r="I31" s="36">
        <f>nextcoupon-startdate</f>
        <v>12</v>
      </c>
      <c r="J31" s="36">
        <f>startdate-lastcoupon</f>
        <v>354</v>
      </c>
      <c r="K31" s="59">
        <v>364</v>
      </c>
      <c r="L31" s="36">
        <f>nextcouponend-enddate</f>
        <v>349</v>
      </c>
      <c r="M31" s="36">
        <f>enddate-lastcouponend</f>
        <v>16</v>
      </c>
      <c r="N31" s="36">
        <v>364</v>
      </c>
    </row>
    <row r="32" spans="2:14" ht="15" x14ac:dyDescent="0.25">
      <c r="B32" s="48"/>
      <c r="C32" s="18" t="s">
        <v>58</v>
      </c>
      <c r="D32" s="26">
        <v>68924300.870000005</v>
      </c>
      <c r="E32" s="13"/>
      <c r="F32" s="31" t="s">
        <v>16</v>
      </c>
      <c r="H32" s="76"/>
    </row>
    <row r="33" spans="2:7" ht="18.75" x14ac:dyDescent="0.3">
      <c r="B33" s="46"/>
      <c r="C33" s="60" t="s">
        <v>54</v>
      </c>
      <c r="D33" s="52"/>
      <c r="E33" s="13"/>
      <c r="F33" s="14"/>
    </row>
    <row r="34" spans="2:7" ht="15" x14ac:dyDescent="0.25">
      <c r="B34" s="48"/>
      <c r="C34" s="18" t="s">
        <v>45</v>
      </c>
      <c r="D34" s="40" t="s">
        <v>31</v>
      </c>
      <c r="E34" s="13"/>
      <c r="F34" s="19" t="s">
        <v>29</v>
      </c>
    </row>
    <row r="35" spans="2:7" x14ac:dyDescent="0.3">
      <c r="B35" s="48"/>
      <c r="C35" s="39" t="str">
        <f>IF(AND(accruedmethod=sifma,monthend="SAME DATE"),"The spreadsheet assumes all coupon dates to be at month-end, because of the day/year method for accrued coupon you have chosen.","")</f>
        <v/>
      </c>
      <c r="D35" s="13"/>
      <c r="E35" s="13"/>
      <c r="F35" s="14"/>
    </row>
    <row r="36" spans="2:7" ht="18.600000000000001" thickBot="1" x14ac:dyDescent="0.4">
      <c r="B36" s="48"/>
      <c r="C36" s="13"/>
      <c r="D36" s="17" t="s">
        <v>1</v>
      </c>
      <c r="E36" s="13"/>
      <c r="F36" s="14"/>
      <c r="G36" s="30"/>
    </row>
    <row r="37" spans="2:7" x14ac:dyDescent="0.3">
      <c r="B37" s="48"/>
      <c r="C37" s="67" t="s">
        <v>59</v>
      </c>
      <c r="D37" s="68"/>
      <c r="E37" s="13"/>
      <c r="F37" s="14"/>
      <c r="G37" s="30"/>
    </row>
    <row r="38" spans="2:7" x14ac:dyDescent="0.3">
      <c r="B38" s="48"/>
      <c r="C38" s="62" t="s">
        <v>50</v>
      </c>
      <c r="D38" s="63">
        <f>100*coupon*IF(D28="NO",daysaccrued,-exdivdays)/yearaccrued</f>
        <v>8.221311475409836</v>
      </c>
      <c r="E38" s="13"/>
      <c r="F38" s="14"/>
    </row>
    <row r="39" spans="2:7" x14ac:dyDescent="0.3">
      <c r="B39" s="48"/>
      <c r="C39" s="62" t="s">
        <v>51</v>
      </c>
      <c r="D39" s="63">
        <f>cleanprice+accrued</f>
        <v>117.17131147540984</v>
      </c>
      <c r="E39" s="13"/>
      <c r="F39" s="14"/>
    </row>
    <row r="40" spans="2:7" x14ac:dyDescent="0.3">
      <c r="B40" s="48"/>
      <c r="C40" s="62" t="s">
        <v>33</v>
      </c>
      <c r="D40" s="64">
        <f>D30</f>
        <v>25000000</v>
      </c>
      <c r="E40" s="13"/>
      <c r="F40" s="14"/>
    </row>
    <row r="41" spans="2:7" x14ac:dyDescent="0.3">
      <c r="B41" s="48"/>
      <c r="C41" s="62" t="s">
        <v>52</v>
      </c>
      <c r="D41" s="64">
        <f>D30*dirtyprice/100</f>
        <v>29292827.868852459</v>
      </c>
      <c r="E41" s="13"/>
      <c r="F41" s="14"/>
    </row>
    <row r="42" spans="2:7" x14ac:dyDescent="0.3">
      <c r="B42" s="48"/>
      <c r="C42" s="44" t="s">
        <v>35</v>
      </c>
      <c r="D42" s="65">
        <f>D41/(1+I17)</f>
        <v>29292827.868852459</v>
      </c>
      <c r="E42" s="13"/>
      <c r="F42" s="14"/>
    </row>
    <row r="43" spans="2:7" x14ac:dyDescent="0.3">
      <c r="B43" s="48"/>
      <c r="C43" s="44" t="s">
        <v>55</v>
      </c>
      <c r="D43" s="65">
        <f>D42*(1+D15*(D14-D13)/D16)</f>
        <v>29383961.111111108</v>
      </c>
      <c r="E43" s="13"/>
      <c r="F43" s="14"/>
    </row>
    <row r="44" spans="2:7" x14ac:dyDescent="0.3">
      <c r="B44" s="48"/>
      <c r="C44" s="44" t="s">
        <v>48</v>
      </c>
      <c r="D44" s="65">
        <f>D43-coupon/couponfrequency*D30*IF(AND(exdivstart="NO",enddate&gt;=nextcoupon),1+D15*(enddate-nextcoupon)/D16,0)-coupon/couponfrequency*D30*IF(lastcouponend&gt;nextcoupon,1+D15*(enddate-lastcouponend)/D16,0)-coupon/couponfrequency*D30*IF(exdivend="NO",0,1/(1+D15*(nextcouponend-enddate)/D16))</f>
        <v>27255183.333333328</v>
      </c>
      <c r="E44" s="13"/>
      <c r="F44" s="14"/>
    </row>
    <row r="45" spans="2:7" x14ac:dyDescent="0.3">
      <c r="B45" s="48"/>
      <c r="C45" s="44" t="s">
        <v>49</v>
      </c>
      <c r="D45" s="69">
        <f>100*D44/D30-100*coupon*IF(exdivend="NO",daysaccruedend,exdivdaysend)/yearaccruedend</f>
        <v>108.64813059360729</v>
      </c>
      <c r="E45" s="13"/>
      <c r="F45" s="14"/>
    </row>
    <row r="46" spans="2:7" x14ac:dyDescent="0.3">
      <c r="B46" s="48"/>
      <c r="C46" s="70" t="s">
        <v>57</v>
      </c>
      <c r="D46" s="71"/>
      <c r="E46" s="13"/>
      <c r="F46" s="14"/>
    </row>
    <row r="47" spans="2:7" x14ac:dyDescent="0.3">
      <c r="B47" s="48"/>
      <c r="C47" s="72" t="s">
        <v>60</v>
      </c>
      <c r="D47" s="71"/>
      <c r="E47" s="13"/>
      <c r="F47" s="14"/>
    </row>
    <row r="48" spans="2:7" x14ac:dyDescent="0.3">
      <c r="B48" s="48"/>
      <c r="C48" s="62" t="s">
        <v>50</v>
      </c>
      <c r="D48" s="63">
        <f>100*coupon*IF(D28="NO",daysaccrued,-exdivdays)/yearaccrued</f>
        <v>8.221311475409836</v>
      </c>
      <c r="E48" s="13"/>
      <c r="F48" s="14"/>
    </row>
    <row r="49" spans="2:6" x14ac:dyDescent="0.3">
      <c r="B49" s="48"/>
      <c r="C49" s="62" t="s">
        <v>51</v>
      </c>
      <c r="D49" s="63">
        <f>cleanprice+accrued</f>
        <v>117.17131147540984</v>
      </c>
      <c r="E49" s="13"/>
      <c r="F49" s="14"/>
    </row>
    <row r="50" spans="2:6" x14ac:dyDescent="0.3">
      <c r="B50" s="48"/>
      <c r="C50" s="62" t="s">
        <v>33</v>
      </c>
      <c r="D50" s="64">
        <f>D51/(dirtyprice/100)</f>
        <v>58823529.413567074</v>
      </c>
      <c r="E50" s="13"/>
      <c r="F50" s="14"/>
    </row>
    <row r="51" spans="2:6" x14ac:dyDescent="0.3">
      <c r="B51" s="48"/>
      <c r="C51" s="62" t="s">
        <v>52</v>
      </c>
      <c r="D51" s="64">
        <f>D32*(1+I17)</f>
        <v>68924300.870000005</v>
      </c>
      <c r="E51" s="13"/>
      <c r="F51" s="14"/>
    </row>
    <row r="52" spans="2:6" x14ac:dyDescent="0.3">
      <c r="B52" s="48"/>
      <c r="C52" s="44" t="s">
        <v>35</v>
      </c>
      <c r="D52" s="65">
        <f>D32</f>
        <v>68924300.870000005</v>
      </c>
      <c r="E52" s="13"/>
      <c r="F52" s="14"/>
    </row>
    <row r="53" spans="2:6" x14ac:dyDescent="0.3">
      <c r="B53" s="48"/>
      <c r="C53" s="44" t="s">
        <v>55</v>
      </c>
      <c r="D53" s="65">
        <f>D52*(1+D15*(D14-D13)/D16)</f>
        <v>69138732.028262228</v>
      </c>
      <c r="E53" s="13"/>
      <c r="F53" s="14"/>
    </row>
    <row r="54" spans="2:6" x14ac:dyDescent="0.3">
      <c r="B54" s="48"/>
      <c r="C54" s="44" t="s">
        <v>48</v>
      </c>
      <c r="D54" s="65">
        <f>D53-coupon/couponfrequency*D50*IF(AND(exdivstart="NO",enddate&gt;=nextcoupon),1+D15*(enddate-nextcoupon)/D16,0)-coupon/couponfrequency*D50*IF(lastcouponend&gt;nextcoupon,1+D15*(enddate-lastcouponend)/D16,0)-coupon/couponfrequency*D50*IF(exdivend="NO",0,1/(1+D15*(nextcouponend-enddate)/D16))</f>
        <v>64129843.139219865</v>
      </c>
      <c r="E54" s="13"/>
      <c r="F54" s="14"/>
    </row>
    <row r="55" spans="2:6" ht="15" thickBot="1" x14ac:dyDescent="0.35">
      <c r="B55" s="48"/>
      <c r="C55" s="45" t="s">
        <v>49</v>
      </c>
      <c r="D55" s="66">
        <f>100*D54/D50-100*coupon*IF(exdivend="NO",daysaccruedend,exdivdaysend)/yearaccruedend</f>
        <v>108.64813059360732</v>
      </c>
      <c r="E55" s="13"/>
      <c r="F55" s="14"/>
    </row>
    <row r="56" spans="2:6" x14ac:dyDescent="0.3">
      <c r="B56" s="48"/>
      <c r="C56" s="49"/>
      <c r="D56" s="49"/>
      <c r="E56" s="49"/>
      <c r="F56" s="50"/>
    </row>
    <row r="57" spans="2:6" ht="15" thickBot="1" x14ac:dyDescent="0.35">
      <c r="B57" s="54"/>
      <c r="C57" s="21" t="s">
        <v>5</v>
      </c>
      <c r="D57" s="22"/>
      <c r="E57" s="22"/>
      <c r="F57" s="23"/>
    </row>
  </sheetData>
  <sheetProtection sheet="1" objects="1" scenarios="1" selectLockedCells="1"/>
  <mergeCells count="2">
    <mergeCell ref="B1:F4"/>
    <mergeCell ref="B5:F7"/>
  </mergeCells>
  <conditionalFormatting sqref="D26">
    <cfRule type="expression" dxfId="0" priority="1">
      <formula>OR(C26="")</formula>
    </cfRule>
  </conditionalFormatting>
  <dataValidations count="6">
    <dataValidation type="list" showInputMessage="1" showErrorMessage="1" error="Please click the arrow and choose 'NO' or 'YES'." sqref="D28 D34">
      <formula1>"NO,YES"</formula1>
    </dataValidation>
    <dataValidation type="list" showInputMessage="1" showErrorMessage="1" error="Please click the arrow and choose" sqref="D26">
      <formula1>"MONTH-END,SAME DATE"</formula1>
    </dataValidation>
    <dataValidation type="date" operator="lessThan" showInputMessage="1" showErrorMessage="1" errorTitle="Invalid date" error="The settlement date should be earlier than the maturity date of the bond." sqref="D25">
      <formula1>D24</formula1>
    </dataValidation>
    <dataValidation type="custom" errorStyle="information" showDropDown="1" showErrorMessage="1" error="The year basis should normally be 360 or 365" sqref="D16">
      <formula1>OR(D16=360,D16=365)</formula1>
    </dataValidation>
    <dataValidation type="list" showInputMessage="1" showErrorMessage="1" errorTitle="Invalid day/year methiod" error="Click cancel.  Then click the small  arrow on the right and choose a day/year method." sqref="D27">
      <formula1>H20:H31</formula1>
    </dataValidation>
    <dataValidation type="list" showInputMessage="1" showErrorMessage="1" errorTitle="Invalid" error="Click cancel.  Then click the small  arrow on the right and choose." sqref="D17">
      <formula1>H16:H18</formula1>
    </dataValidation>
  </dataValidations>
  <hyperlinks>
    <hyperlink ref="C57" r:id="rId1" display="www.markets-international.com"/>
  </hyperlinks>
  <pageMargins left="0.7" right="0.7" top="0.75" bottom="0.75" header="0.3" footer="0.3"/>
  <pageSetup paperSize="9" scale="49"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25</vt:i4>
      </vt:variant>
    </vt:vector>
  </HeadingPairs>
  <TitlesOfParts>
    <vt:vector size="28" baseType="lpstr">
      <vt:lpstr>Sheet1</vt:lpstr>
      <vt:lpstr>Sheet2</vt:lpstr>
      <vt:lpstr>Sheet3</vt:lpstr>
      <vt:lpstr>accrued</vt:lpstr>
      <vt:lpstr>accruedmethod</vt:lpstr>
      <vt:lpstr>cleanprice</vt:lpstr>
      <vt:lpstr>coupon</vt:lpstr>
      <vt:lpstr>couponfrequency</vt:lpstr>
      <vt:lpstr>daysaccrued</vt:lpstr>
      <vt:lpstr>daysaccruedend</vt:lpstr>
      <vt:lpstr>dirtyprice</vt:lpstr>
      <vt:lpstr>enddate</vt:lpstr>
      <vt:lpstr>exdivdays</vt:lpstr>
      <vt:lpstr>exdivdaysend</vt:lpstr>
      <vt:lpstr>exdivend</vt:lpstr>
      <vt:lpstr>exdivstart</vt:lpstr>
      <vt:lpstr>lastcoupon</vt:lpstr>
      <vt:lpstr>lastcouponend</vt:lpstr>
      <vt:lpstr>maturity</vt:lpstr>
      <vt:lpstr>methodtable</vt:lpstr>
      <vt:lpstr>monthend</vt:lpstr>
      <vt:lpstr>nextcoupon</vt:lpstr>
      <vt:lpstr>nextcouponend</vt:lpstr>
      <vt:lpstr>Sheet1!Print_Area</vt:lpstr>
      <vt:lpstr>sifma</vt:lpstr>
      <vt:lpstr>startdate</vt:lpstr>
      <vt:lpstr>yearaccrued</vt:lpstr>
      <vt:lpstr>yearaccruedend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Bob</cp:lastModifiedBy>
  <cp:lastPrinted>2012-02-15T12:20:27Z</cp:lastPrinted>
  <dcterms:created xsi:type="dcterms:W3CDTF">2011-01-13T14:26:35Z</dcterms:created>
  <dcterms:modified xsi:type="dcterms:W3CDTF">2018-09-13T16:51:59Z</dcterms:modified>
</cp:coreProperties>
</file>